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2\042-arkiv\095 - Generalforsamling\042 GF\GF 2018\Udsendelse før GF\"/>
    </mc:Choice>
  </mc:AlternateContent>
  <bookViews>
    <workbookView xWindow="0" yWindow="0" windowWidth="28800" windowHeight="12210" xr2:uid="{00000000-000D-0000-FFFF-FFFF00000000}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B5" i="2"/>
  <c r="B18" i="2" s="1"/>
  <c r="B6" i="2"/>
  <c r="B17" i="2"/>
  <c r="B7" i="2"/>
  <c r="B20" i="2"/>
  <c r="B16" i="2"/>
  <c r="B15" i="2"/>
  <c r="B14" i="2"/>
  <c r="B13" i="2"/>
  <c r="B12" i="2"/>
  <c r="B11" i="2"/>
  <c r="B10" i="2"/>
  <c r="B9" i="2"/>
  <c r="B8" i="2"/>
  <c r="F24" i="1"/>
  <c r="F21" i="1"/>
  <c r="F13" i="1"/>
  <c r="B19" i="2" l="1"/>
  <c r="B21" i="2" s="1"/>
  <c r="F10" i="1" s="1"/>
  <c r="F39" i="1" s="1"/>
  <c r="C37" i="1" l="1"/>
  <c r="C35" i="1"/>
  <c r="C34" i="1"/>
  <c r="C32" i="1"/>
  <c r="C31" i="1"/>
  <c r="C27" i="1"/>
  <c r="C25" i="1"/>
  <c r="E24" i="1"/>
  <c r="D24" i="1"/>
  <c r="C24" i="1"/>
  <c r="C23" i="1"/>
  <c r="C22" i="1"/>
  <c r="E21" i="1"/>
  <c r="D21" i="1"/>
  <c r="C19" i="1"/>
  <c r="C17" i="1"/>
  <c r="C15" i="1"/>
  <c r="C14" i="1"/>
  <c r="E13" i="1"/>
  <c r="D13" i="1"/>
  <c r="C13" i="1"/>
  <c r="E11" i="1"/>
  <c r="D11" i="1"/>
  <c r="C10" i="1"/>
  <c r="B10" i="1"/>
  <c r="D10" i="1" s="1"/>
  <c r="E10" i="1" s="1"/>
  <c r="C5" i="1"/>
  <c r="E4" i="1"/>
  <c r="D4" i="1"/>
  <c r="C4" i="1"/>
  <c r="B4" i="1"/>
  <c r="B8" i="1" s="1"/>
  <c r="E8" i="1" l="1"/>
  <c r="F4" i="1"/>
  <c r="F8" i="1" s="1"/>
  <c r="F40" i="1" s="1"/>
  <c r="C8" i="1"/>
  <c r="C39" i="1"/>
  <c r="C40" i="1" s="1"/>
  <c r="B39" i="1"/>
  <c r="B40" i="1" s="1"/>
  <c r="D8" i="1"/>
  <c r="D39" i="1"/>
  <c r="E39" i="1"/>
  <c r="E40" i="1" l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Lejre Lærerforening</author>
  </authors>
  <commentLis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her er kontingentet ikke løn-og prisfremskrevet
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her er kontingentet er løn-og prisfremskrevet fra 1.4
</t>
        </r>
      </text>
    </comment>
    <comment ref="D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vil gerne flytte kørsel for SSP over på denne konto</t>
        </r>
      </text>
    </comment>
    <comment ref="E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vil gerne flytte kørsel for SSP over på denne konto</t>
        </r>
      </text>
    </comment>
    <comment ref="C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Bredbånd er ført her, men burde nok have været ført på Telefon og internet</t>
        </r>
      </text>
    </comment>
    <comment ref="C3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Her burde jeg have ført bredbåndet på 3816 kr., men det har jeg ført på EDB-udgiter.</t>
        </r>
      </text>
    </comment>
  </commentList>
</comments>
</file>

<file path=xl/sharedStrings.xml><?xml version="1.0" encoding="utf-8"?>
<sst xmlns="http://schemas.openxmlformats.org/spreadsheetml/2006/main" count="61" uniqueCount="60">
  <si>
    <t>Lejre Lærerforening</t>
  </si>
  <si>
    <t xml:space="preserve">budget  2017 </t>
  </si>
  <si>
    <t>krystalkuglen for 2017</t>
  </si>
  <si>
    <t>budget 2018 3. udkast</t>
  </si>
  <si>
    <t>budget 2018 4. udkast</t>
  </si>
  <si>
    <t>Indtægter</t>
  </si>
  <si>
    <t>Kontingenter</t>
  </si>
  <si>
    <t>AKUT-fonden</t>
  </si>
  <si>
    <t>Renter</t>
  </si>
  <si>
    <t>Indtægter i alt</t>
  </si>
  <si>
    <t>Udgifter</t>
  </si>
  <si>
    <t>Generationsskifte</t>
  </si>
  <si>
    <t>Reg. til kursværdi, aktier og investeringsb.</t>
  </si>
  <si>
    <t>Sociale omkostninger</t>
  </si>
  <si>
    <t>Kørsel- og telefongodtgørelse</t>
  </si>
  <si>
    <t>TR/KS-kurser mv. og kongres</t>
  </si>
  <si>
    <t>PR</t>
  </si>
  <si>
    <t>AKUT-træk</t>
  </si>
  <si>
    <t>Forpligtende kredssamarbejde</t>
  </si>
  <si>
    <t>Medlemskursus</t>
  </si>
  <si>
    <t>Medlemskursus afsat tidl. År</t>
  </si>
  <si>
    <t>Pensionistaktiviteter</t>
  </si>
  <si>
    <t>Generalforsamling</t>
  </si>
  <si>
    <t>Repræsentation</t>
  </si>
  <si>
    <t>Husleje og el</t>
  </si>
  <si>
    <t>Rengøring</t>
  </si>
  <si>
    <t>Kontorhold</t>
  </si>
  <si>
    <t>Faglitteratur og tidsskrifter</t>
  </si>
  <si>
    <t>Forsikringer</t>
  </si>
  <si>
    <t>Porto</t>
  </si>
  <si>
    <t>EDB-udgifter</t>
  </si>
  <si>
    <t>Gebyrer bank og DLF</t>
  </si>
  <si>
    <t>Leasing og kopiafregning</t>
  </si>
  <si>
    <t>Telefon og internet</t>
  </si>
  <si>
    <t>Anskaffelser, inventar mv.</t>
  </si>
  <si>
    <t>Reparation og vedligeholdelse</t>
  </si>
  <si>
    <t>Revision</t>
  </si>
  <si>
    <t>Mødeudgifter</t>
  </si>
  <si>
    <t>Udgifter i alt</t>
  </si>
  <si>
    <t>Årets resultat</t>
  </si>
  <si>
    <t>Sådan er frikøbet regnet ud:</t>
  </si>
  <si>
    <t>Per</t>
  </si>
  <si>
    <t>Kasper</t>
  </si>
  <si>
    <t>Anne</t>
  </si>
  <si>
    <t>ny næstformand</t>
  </si>
  <si>
    <t>Anders</t>
  </si>
  <si>
    <t>Dan</t>
  </si>
  <si>
    <t>Jeppe</t>
  </si>
  <si>
    <t xml:space="preserve"> Hanne</t>
  </si>
  <si>
    <t>Charlotte</t>
  </si>
  <si>
    <t>Marie Louise</t>
  </si>
  <si>
    <t>Jakob</t>
  </si>
  <si>
    <t>sum</t>
  </si>
  <si>
    <t>pension af frikøb</t>
  </si>
  <si>
    <t>løn til kontor</t>
  </si>
  <si>
    <t xml:space="preserve">i alt </t>
  </si>
  <si>
    <t>ny næstformand aug-dec</t>
  </si>
  <si>
    <t>ny TR Kr. Såby</t>
  </si>
  <si>
    <t>Løn/frikøb/Akut-træk</t>
  </si>
  <si>
    <t xml:space="preserve">budgetforslag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</si>
</sst>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_ &quot;kr.&quot;\ * #,##0.00_ ;_ &quot;kr.&quot;\ * \-#,##0.00_ ;_ &quot;kr.&quot;\ * &quot;-&quot;??_ ;_ @_ "/>
    <numFmt numFmtId="165" formatCode="_-* #,##0.00\ [$kr.-406]_-;\-* #,##0.00\ [$kr.-406]_-;_-* &quot;-&quot;??\ [$kr.-406]_-;_-@_-"/>
    <numFmt numFmtId="166" formatCode="_ [$kr.-406]\ * #,##0.00_ ;_ [$kr.-406]\ * \-#,##0.00_ ;_ [$kr.-406]\ * &quot;-&quot;??_ ;_ @_ "/>
    <numFmt numFmtId="167" formatCode="_-* #,##0\ [$kr.-406]_-;\-* #,##0\ [$kr.-406]_-;_-* &quot;-&quot;??\ [$kr.-406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4"/>
      <color theme="6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1" fillId="3" borderId="1" xfId="2" applyFill="1"/>
    <xf numFmtId="0" fontId="0" fillId="4" borderId="1" xfId="2" applyFont="1" applyFill="1"/>
    <xf numFmtId="0" fontId="2" fillId="2" borderId="1" xfId="2" applyFont="1"/>
    <xf numFmtId="0" fontId="4" fillId="0" borderId="0" xfId="0" applyFont="1"/>
    <xf numFmtId="44" fontId="5" fillId="5" borderId="1" xfId="1" applyFont="1" applyFill="1" applyBorder="1"/>
    <xf numFmtId="164" fontId="5" fillId="3" borderId="1" xfId="2" applyNumberFormat="1" applyFont="1" applyFill="1"/>
    <xf numFmtId="44" fontId="5" fillId="4" borderId="1" xfId="2" applyNumberFormat="1" applyFont="1" applyFill="1"/>
    <xf numFmtId="165" fontId="6" fillId="2" borderId="1" xfId="2" applyNumberFormat="1" applyFont="1"/>
    <xf numFmtId="0" fontId="7" fillId="0" borderId="0" xfId="0" applyFont="1"/>
    <xf numFmtId="0" fontId="5" fillId="3" borderId="1" xfId="2" applyFont="1" applyFill="1"/>
    <xf numFmtId="0" fontId="8" fillId="0" borderId="0" xfId="0" applyFont="1"/>
    <xf numFmtId="165" fontId="9" fillId="2" borderId="1" xfId="2" applyNumberFormat="1" applyFont="1"/>
    <xf numFmtId="165" fontId="2" fillId="2" borderId="1" xfId="2" applyNumberFormat="1" applyFont="1"/>
    <xf numFmtId="44" fontId="10" fillId="5" borderId="1" xfId="1" applyFont="1" applyFill="1" applyBorder="1"/>
    <xf numFmtId="164" fontId="10" fillId="3" borderId="1" xfId="2" applyNumberFormat="1" applyFont="1" applyFill="1"/>
    <xf numFmtId="44" fontId="10" fillId="4" borderId="1" xfId="2" applyNumberFormat="1" applyFont="1" applyFill="1"/>
    <xf numFmtId="165" fontId="11" fillId="2" borderId="1" xfId="2" applyNumberFormat="1" applyFont="1"/>
    <xf numFmtId="0" fontId="12" fillId="0" borderId="0" xfId="0" applyFont="1"/>
    <xf numFmtId="0" fontId="10" fillId="0" borderId="0" xfId="0" applyFont="1"/>
    <xf numFmtId="166" fontId="5" fillId="5" borderId="0" xfId="0" applyNumberFormat="1" applyFont="1" applyFill="1"/>
    <xf numFmtId="0" fontId="13" fillId="0" borderId="0" xfId="0" applyFont="1"/>
    <xf numFmtId="44" fontId="14" fillId="5" borderId="1" xfId="1" applyFont="1" applyFill="1" applyBorder="1"/>
    <xf numFmtId="164" fontId="14" fillId="3" borderId="1" xfId="2" applyNumberFormat="1" applyFont="1" applyFill="1"/>
    <xf numFmtId="165" fontId="15" fillId="4" borderId="1" xfId="2" applyNumberFormat="1" applyFont="1" applyFill="1"/>
    <xf numFmtId="165" fontId="16" fillId="2" borderId="1" xfId="1" applyNumberFormat="1" applyFont="1" applyFill="1" applyBorder="1"/>
    <xf numFmtId="0" fontId="0" fillId="6" borderId="1" xfId="2" applyFont="1" applyFill="1"/>
    <xf numFmtId="165" fontId="2" fillId="6" borderId="1" xfId="2" applyNumberFormat="1" applyFont="1" applyFill="1"/>
    <xf numFmtId="167" fontId="6" fillId="2" borderId="1" xfId="2" applyNumberFormat="1" applyFont="1"/>
    <xf numFmtId="167" fontId="5" fillId="2" borderId="1" xfId="2" applyNumberFormat="1" applyFont="1"/>
  </cellXfs>
  <cellStyles count="5">
    <cellStyle name="Bemærk!" xfId="2" builtinId="10"/>
    <cellStyle name="Komma 2" xfId="4" xr:uid="{00000000-0005-0000-0000-00002F000000}"/>
    <cellStyle name="Normal" xfId="0" builtinId="0"/>
    <cellStyle name="Normal 2" xfId="3" xr:uid="{00000000-0005-0000-0000-000030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4"/>
  <sheetViews>
    <sheetView tabSelected="1" workbookViewId="0">
      <selection activeCell="G6" sqref="G6"/>
    </sheetView>
  </sheetViews>
  <sheetFormatPr defaultRowHeight="15" x14ac:dyDescent="0.25"/>
  <cols>
    <col min="1" max="1" width="44.85546875" customWidth="1"/>
    <col min="2" max="2" width="34.85546875" customWidth="1"/>
    <col min="3" max="3" width="29.28515625" hidden="1" customWidth="1"/>
    <col min="4" max="4" width="36.85546875" style="3" hidden="1" customWidth="1"/>
    <col min="5" max="5" width="29.85546875" hidden="1" customWidth="1"/>
    <col min="6" max="6" width="29.85546875" customWidth="1"/>
    <col min="7" max="7" width="29.28515625" customWidth="1"/>
  </cols>
  <sheetData>
    <row r="1" spans="1:6" ht="20.25" x14ac:dyDescent="0.3">
      <c r="A1" s="1" t="s">
        <v>0</v>
      </c>
      <c r="C1" s="2"/>
      <c r="E1" s="4"/>
      <c r="F1" s="4"/>
    </row>
    <row r="2" spans="1:6" ht="20.25" x14ac:dyDescent="0.3">
      <c r="A2" s="5" t="s">
        <v>59</v>
      </c>
      <c r="B2" s="6" t="s">
        <v>1</v>
      </c>
      <c r="C2" s="7" t="s">
        <v>2</v>
      </c>
      <c r="D2" s="8" t="s">
        <v>3</v>
      </c>
      <c r="E2" s="9" t="s">
        <v>4</v>
      </c>
      <c r="F2" s="9" t="s">
        <v>59</v>
      </c>
    </row>
    <row r="3" spans="1:6" ht="18.75" x14ac:dyDescent="0.3">
      <c r="A3" s="10" t="s">
        <v>5</v>
      </c>
      <c r="B3" s="6"/>
      <c r="C3" s="11"/>
      <c r="D3" s="8"/>
      <c r="E3" s="9"/>
      <c r="F3" s="9"/>
    </row>
    <row r="4" spans="1:6" ht="18.75" x14ac:dyDescent="0.3">
      <c r="A4" s="12" t="s">
        <v>6</v>
      </c>
      <c r="B4" s="6">
        <f>270*340*12+10*170*12+80*35*12</f>
        <v>1155600</v>
      </c>
      <c r="C4" s="7">
        <f>939449+91509+89593.5</f>
        <v>1120551.5</v>
      </c>
      <c r="D4" s="8">
        <f>(263*340*12+10*170*12)+70*35*12</f>
        <v>1122840</v>
      </c>
      <c r="E4" s="13">
        <f>(263*340*3+10*170*3)+70*35*12+(263*340*9*1.01+10*170*9*1.01)</f>
        <v>1131040.8</v>
      </c>
      <c r="F4" s="13">
        <f>E4</f>
        <v>1131040.8</v>
      </c>
    </row>
    <row r="5" spans="1:6" ht="18.75" x14ac:dyDescent="0.3">
      <c r="A5" s="12" t="s">
        <v>7</v>
      </c>
      <c r="B5" s="6">
        <v>140000</v>
      </c>
      <c r="C5" s="7">
        <f>75900+75500</f>
        <v>151400</v>
      </c>
      <c r="D5" s="8">
        <v>140000</v>
      </c>
      <c r="E5" s="13">
        <v>140000</v>
      </c>
      <c r="F5" s="13">
        <v>150000</v>
      </c>
    </row>
    <row r="6" spans="1:6" ht="18.75" x14ac:dyDescent="0.3">
      <c r="A6" s="12" t="s">
        <v>8</v>
      </c>
      <c r="B6" s="6">
        <v>3500</v>
      </c>
      <c r="C6" s="7">
        <v>3500</v>
      </c>
      <c r="D6" s="8">
        <v>3500</v>
      </c>
      <c r="E6" s="13">
        <v>3500</v>
      </c>
      <c r="F6" s="13">
        <v>3500</v>
      </c>
    </row>
    <row r="7" spans="1:6" ht="18.75" x14ac:dyDescent="0.3">
      <c r="B7" s="6"/>
      <c r="C7" s="7"/>
      <c r="D7" s="8"/>
      <c r="E7" s="14"/>
      <c r="F7" s="14"/>
    </row>
    <row r="8" spans="1:6" ht="18.75" x14ac:dyDescent="0.3">
      <c r="A8" s="10" t="s">
        <v>9</v>
      </c>
      <c r="B8" s="15">
        <f t="shared" ref="B8:F8" si="0">SUM(B4:B6)</f>
        <v>1299100</v>
      </c>
      <c r="C8" s="16">
        <f t="shared" si="0"/>
        <v>1275451.5</v>
      </c>
      <c r="D8" s="17">
        <f t="shared" si="0"/>
        <v>1266340</v>
      </c>
      <c r="E8" s="18">
        <f t="shared" si="0"/>
        <v>1274540.8</v>
      </c>
      <c r="F8" s="18">
        <f t="shared" si="0"/>
        <v>1284540.8</v>
      </c>
    </row>
    <row r="9" spans="1:6" ht="18.75" x14ac:dyDescent="0.3">
      <c r="A9" s="20" t="s">
        <v>10</v>
      </c>
      <c r="B9" s="6"/>
      <c r="C9" s="7"/>
      <c r="D9" s="8"/>
      <c r="E9" s="14"/>
      <c r="F9" s="29"/>
    </row>
    <row r="10" spans="1:6" ht="18.75" x14ac:dyDescent="0.3">
      <c r="A10" s="12" t="s">
        <v>58</v>
      </c>
      <c r="B10" s="21">
        <f>925390.978806653-60489.41</f>
        <v>864901.56880665291</v>
      </c>
      <c r="C10" s="7">
        <f>839910.64</f>
        <v>839910.64</v>
      </c>
      <c r="D10" s="8">
        <f>B10-100*204+(100/12*5*212.99)</f>
        <v>853376.15213998628</v>
      </c>
      <c r="E10" s="13">
        <f>D10</f>
        <v>853376.15213998628</v>
      </c>
      <c r="F10" s="30">
        <f>'Ark2'!B21</f>
        <v>868313.58750666631</v>
      </c>
    </row>
    <row r="11" spans="1:6" ht="18.75" x14ac:dyDescent="0.3">
      <c r="A11" s="12" t="s">
        <v>11</v>
      </c>
      <c r="B11" s="6"/>
      <c r="C11" s="7"/>
      <c r="D11" s="8" t="e">
        <f>#REF!</f>
        <v>#REF!</v>
      </c>
      <c r="E11" s="13">
        <f>F11</f>
        <v>0</v>
      </c>
      <c r="F11" s="13"/>
    </row>
    <row r="12" spans="1:6" ht="18.75" x14ac:dyDescent="0.3">
      <c r="A12" s="12" t="s">
        <v>12</v>
      </c>
      <c r="B12" s="6">
        <v>0</v>
      </c>
      <c r="C12" s="7"/>
      <c r="D12" s="8"/>
      <c r="E12" s="13"/>
      <c r="F12" s="13"/>
    </row>
    <row r="13" spans="1:6" ht="18.75" x14ac:dyDescent="0.3">
      <c r="A13" s="12" t="s">
        <v>13</v>
      </c>
      <c r="B13" s="6">
        <v>8000</v>
      </c>
      <c r="C13" s="7">
        <f>5847+2200</f>
        <v>8047</v>
      </c>
      <c r="D13" s="8">
        <f>2150*4</f>
        <v>8600</v>
      </c>
      <c r="E13" s="13">
        <f>2150*4</f>
        <v>8600</v>
      </c>
      <c r="F13" s="13">
        <f>2150*4</f>
        <v>8600</v>
      </c>
    </row>
    <row r="14" spans="1:6" ht="18.75" x14ac:dyDescent="0.3">
      <c r="A14" s="12" t="s">
        <v>14</v>
      </c>
      <c r="B14" s="6">
        <v>20000</v>
      </c>
      <c r="C14" s="7">
        <f>26807.9</f>
        <v>26807.9</v>
      </c>
      <c r="D14" s="8">
        <v>28000</v>
      </c>
      <c r="E14" s="13">
        <v>28000</v>
      </c>
      <c r="F14" s="13">
        <v>20000</v>
      </c>
    </row>
    <row r="15" spans="1:6" ht="18.75" x14ac:dyDescent="0.3">
      <c r="A15" s="12" t="s">
        <v>15</v>
      </c>
      <c r="B15" s="6">
        <v>20000</v>
      </c>
      <c r="C15" s="7">
        <f>3578.61+8193.36+2580.91</f>
        <v>14352.880000000001</v>
      </c>
      <c r="D15" s="8">
        <v>44200</v>
      </c>
      <c r="E15" s="13">
        <v>44200</v>
      </c>
      <c r="F15" s="13">
        <v>44200</v>
      </c>
    </row>
    <row r="16" spans="1:6" ht="18.75" x14ac:dyDescent="0.3">
      <c r="A16" s="12" t="s">
        <v>16</v>
      </c>
      <c r="B16" s="6">
        <v>1000</v>
      </c>
      <c r="C16" s="7"/>
      <c r="D16" s="8"/>
      <c r="E16" s="13"/>
      <c r="F16" s="13"/>
    </row>
    <row r="17" spans="1:6" ht="18.75" x14ac:dyDescent="0.3">
      <c r="A17" s="12" t="s">
        <v>17</v>
      </c>
      <c r="B17" s="6">
        <v>7500</v>
      </c>
      <c r="C17" s="7">
        <f>868.8+9746.16</f>
        <v>10614.96</v>
      </c>
      <c r="D17" s="8">
        <v>7500</v>
      </c>
      <c r="E17" s="13">
        <v>7500</v>
      </c>
      <c r="F17" s="13">
        <v>0</v>
      </c>
    </row>
    <row r="18" spans="1:6" ht="18.75" x14ac:dyDescent="0.3">
      <c r="A18" s="12" t="s">
        <v>18</v>
      </c>
      <c r="B18" s="6">
        <v>5000</v>
      </c>
      <c r="C18" s="7">
        <v>3566.5</v>
      </c>
      <c r="D18" s="8">
        <v>2500</v>
      </c>
      <c r="E18" s="13">
        <v>2500</v>
      </c>
      <c r="F18" s="13">
        <v>2500</v>
      </c>
    </row>
    <row r="19" spans="1:6" ht="18.75" x14ac:dyDescent="0.3">
      <c r="A19" s="12" t="s">
        <v>19</v>
      </c>
      <c r="B19" s="6">
        <v>110000</v>
      </c>
      <c r="C19" s="7">
        <f>114773</f>
        <v>114773</v>
      </c>
      <c r="D19" s="8">
        <v>50000</v>
      </c>
      <c r="E19" s="13">
        <v>50000</v>
      </c>
      <c r="F19" s="13">
        <v>60000</v>
      </c>
    </row>
    <row r="20" spans="1:6" ht="18.75" x14ac:dyDescent="0.3">
      <c r="A20" s="12" t="s">
        <v>20</v>
      </c>
      <c r="B20" s="6">
        <v>-50000</v>
      </c>
      <c r="C20" s="7">
        <v>-50000</v>
      </c>
      <c r="D20" s="8"/>
      <c r="E20" s="13"/>
      <c r="F20" s="13"/>
    </row>
    <row r="21" spans="1:6" ht="18.75" x14ac:dyDescent="0.3">
      <c r="A21" s="12" t="s">
        <v>21</v>
      </c>
      <c r="B21" s="6">
        <v>23000</v>
      </c>
      <c r="C21" s="7">
        <v>22777.05</v>
      </c>
      <c r="D21" s="8">
        <f>1000+23000</f>
        <v>24000</v>
      </c>
      <c r="E21" s="13">
        <f>1000+23000</f>
        <v>24000</v>
      </c>
      <c r="F21" s="13">
        <f>1000+23000</f>
        <v>24000</v>
      </c>
    </row>
    <row r="22" spans="1:6" ht="18.75" x14ac:dyDescent="0.3">
      <c r="A22" s="12" t="s">
        <v>22</v>
      </c>
      <c r="B22" s="6">
        <v>10000</v>
      </c>
      <c r="C22" s="7">
        <f>10840.22</f>
        <v>10840.22</v>
      </c>
      <c r="D22" s="8">
        <v>10000</v>
      </c>
      <c r="E22" s="13">
        <v>10000</v>
      </c>
      <c r="F22" s="13">
        <v>10000</v>
      </c>
    </row>
    <row r="23" spans="1:6" ht="18.75" x14ac:dyDescent="0.3">
      <c r="A23" s="12" t="s">
        <v>23</v>
      </c>
      <c r="B23" s="6">
        <v>5000</v>
      </c>
      <c r="C23" s="7">
        <f>8823.94</f>
        <v>8823.94</v>
      </c>
      <c r="D23" s="8">
        <v>10000</v>
      </c>
      <c r="E23" s="13">
        <v>10000</v>
      </c>
      <c r="F23" s="13">
        <v>10000</v>
      </c>
    </row>
    <row r="24" spans="1:6" ht="18.75" x14ac:dyDescent="0.3">
      <c r="A24" s="12" t="s">
        <v>24</v>
      </c>
      <c r="B24" s="6">
        <v>75000</v>
      </c>
      <c r="C24" s="7">
        <f>78448.76</f>
        <v>78448.759999999995</v>
      </c>
      <c r="D24" s="8">
        <f>5500*12+18000</f>
        <v>84000</v>
      </c>
      <c r="E24" s="13">
        <f>5500*12+18000</f>
        <v>84000</v>
      </c>
      <c r="F24" s="13">
        <f>5500*12+18000</f>
        <v>84000</v>
      </c>
    </row>
    <row r="25" spans="1:6" ht="18.75" x14ac:dyDescent="0.3">
      <c r="A25" s="12" t="s">
        <v>25</v>
      </c>
      <c r="B25" s="6">
        <v>24500</v>
      </c>
      <c r="C25" s="7">
        <f>20499.4+4000</f>
        <v>24499.4</v>
      </c>
      <c r="D25" s="8">
        <v>12000</v>
      </c>
      <c r="E25" s="13">
        <v>12000</v>
      </c>
      <c r="F25" s="13">
        <v>12000</v>
      </c>
    </row>
    <row r="26" spans="1:6" ht="18.75" x14ac:dyDescent="0.3">
      <c r="A26" s="12" t="s">
        <v>26</v>
      </c>
      <c r="B26" s="6">
        <v>3000</v>
      </c>
      <c r="C26" s="7">
        <v>5557.23</v>
      </c>
      <c r="D26" s="8">
        <v>3000</v>
      </c>
      <c r="E26" s="13">
        <v>3000</v>
      </c>
      <c r="F26" s="13">
        <v>3000</v>
      </c>
    </row>
    <row r="27" spans="1:6" ht="18.75" x14ac:dyDescent="0.3">
      <c r="A27" s="12" t="s">
        <v>27</v>
      </c>
      <c r="B27" s="6">
        <v>5000</v>
      </c>
      <c r="C27" s="7">
        <f>3923.74+800</f>
        <v>4723.74</v>
      </c>
      <c r="D27" s="8">
        <v>5000</v>
      </c>
      <c r="E27" s="13">
        <v>5000</v>
      </c>
      <c r="F27" s="13">
        <v>5000</v>
      </c>
    </row>
    <row r="28" spans="1:6" ht="18.75" x14ac:dyDescent="0.3">
      <c r="A28" s="12" t="s">
        <v>28</v>
      </c>
      <c r="B28" s="6">
        <v>9000</v>
      </c>
      <c r="C28" s="7">
        <v>6549</v>
      </c>
      <c r="D28" s="8">
        <v>9000</v>
      </c>
      <c r="E28" s="13">
        <v>9000</v>
      </c>
      <c r="F28" s="13">
        <v>9000</v>
      </c>
    </row>
    <row r="29" spans="1:6" ht="18.75" x14ac:dyDescent="0.3">
      <c r="A29" s="12" t="s">
        <v>29</v>
      </c>
      <c r="B29" s="6">
        <v>3000</v>
      </c>
      <c r="C29" s="7">
        <v>3000</v>
      </c>
      <c r="D29" s="8">
        <v>0</v>
      </c>
      <c r="E29" s="13">
        <v>0</v>
      </c>
      <c r="F29" s="13">
        <v>0</v>
      </c>
    </row>
    <row r="30" spans="1:6" ht="18.75" x14ac:dyDescent="0.3">
      <c r="A30" s="12" t="s">
        <v>30</v>
      </c>
      <c r="B30" s="6">
        <v>7000</v>
      </c>
      <c r="C30" s="7">
        <v>5861</v>
      </c>
      <c r="D30" s="8">
        <v>7000</v>
      </c>
      <c r="E30" s="13">
        <v>7000</v>
      </c>
      <c r="F30" s="13">
        <v>0</v>
      </c>
    </row>
    <row r="31" spans="1:6" ht="18.75" x14ac:dyDescent="0.3">
      <c r="A31" s="12" t="s">
        <v>31</v>
      </c>
      <c r="B31" s="6">
        <v>20000</v>
      </c>
      <c r="C31" s="7">
        <f>20000</f>
        <v>20000</v>
      </c>
      <c r="D31" s="8">
        <v>20000</v>
      </c>
      <c r="E31" s="13">
        <v>20000</v>
      </c>
      <c r="F31" s="13">
        <v>20000</v>
      </c>
    </row>
    <row r="32" spans="1:6" ht="18.75" x14ac:dyDescent="0.3">
      <c r="A32" s="12" t="s">
        <v>32</v>
      </c>
      <c r="B32" s="6">
        <v>8000</v>
      </c>
      <c r="C32" s="7">
        <f>4528.13*2</f>
        <v>9056.26</v>
      </c>
      <c r="D32" s="8">
        <v>5000</v>
      </c>
      <c r="E32" s="13">
        <v>5000</v>
      </c>
      <c r="F32" s="13">
        <v>5000</v>
      </c>
    </row>
    <row r="33" spans="1:6" ht="18.75" x14ac:dyDescent="0.3">
      <c r="A33" s="12" t="s">
        <v>33</v>
      </c>
      <c r="B33" s="6">
        <v>13000</v>
      </c>
      <c r="C33" s="7">
        <v>6525.35</v>
      </c>
      <c r="D33" s="8">
        <v>13000</v>
      </c>
      <c r="E33" s="13">
        <v>13000</v>
      </c>
      <c r="F33" s="13">
        <v>13000</v>
      </c>
    </row>
    <row r="34" spans="1:6" ht="18.75" x14ac:dyDescent="0.3">
      <c r="A34" s="12" t="s">
        <v>34</v>
      </c>
      <c r="B34" s="6">
        <v>7000</v>
      </c>
      <c r="C34" s="7">
        <f>3684.24+2000</f>
        <v>5684.24</v>
      </c>
      <c r="D34" s="8">
        <v>25000</v>
      </c>
      <c r="E34" s="13">
        <v>25000</v>
      </c>
      <c r="F34" s="13">
        <f>20000+7000+2000</f>
        <v>29000</v>
      </c>
    </row>
    <row r="35" spans="1:6" ht="18.75" x14ac:dyDescent="0.3">
      <c r="A35" s="12" t="s">
        <v>35</v>
      </c>
      <c r="B35" s="6">
        <v>2000</v>
      </c>
      <c r="C35" s="7">
        <f>4112.5+10000</f>
        <v>14112.5</v>
      </c>
      <c r="D35" s="8">
        <v>2000</v>
      </c>
      <c r="E35" s="13">
        <v>2000</v>
      </c>
      <c r="F35" s="13">
        <v>0</v>
      </c>
    </row>
    <row r="36" spans="1:6" ht="18.75" x14ac:dyDescent="0.3">
      <c r="A36" s="22" t="s">
        <v>36</v>
      </c>
      <c r="B36" s="6">
        <v>19000</v>
      </c>
      <c r="C36" s="7">
        <v>19375</v>
      </c>
      <c r="D36" s="8">
        <v>19500</v>
      </c>
      <c r="E36" s="13">
        <v>19500</v>
      </c>
      <c r="F36" s="13">
        <v>19500</v>
      </c>
    </row>
    <row r="37" spans="1:6" ht="18.75" x14ac:dyDescent="0.3">
      <c r="A37" s="12" t="s">
        <v>37</v>
      </c>
      <c r="B37" s="6">
        <v>35000</v>
      </c>
      <c r="C37" s="7">
        <f>2454.95+23011.05</f>
        <v>25466</v>
      </c>
      <c r="D37" s="8">
        <v>25000</v>
      </c>
      <c r="E37" s="13">
        <v>25000</v>
      </c>
      <c r="F37" s="13">
        <v>26000</v>
      </c>
    </row>
    <row r="38" spans="1:6" x14ac:dyDescent="0.25">
      <c r="D38" s="27"/>
      <c r="E38" s="28"/>
      <c r="F38" s="28"/>
    </row>
    <row r="39" spans="1:6" ht="18.75" x14ac:dyDescent="0.3">
      <c r="A39" s="10" t="s">
        <v>38</v>
      </c>
      <c r="B39" s="15">
        <f>SUM(B10:B37)</f>
        <v>1254901.5688066529</v>
      </c>
      <c r="C39" s="16">
        <f>SUM(C10:C37)</f>
        <v>1239372.5699999998</v>
      </c>
      <c r="D39" s="17" t="e">
        <f>SUM(D10:D37)</f>
        <v>#REF!</v>
      </c>
      <c r="E39" s="18">
        <f>SUM(E10:E37)</f>
        <v>1267676.1521399864</v>
      </c>
      <c r="F39" s="18">
        <f>SUM(F10:F38)</f>
        <v>1273113.5875066663</v>
      </c>
    </row>
    <row r="40" spans="1:6" ht="18.75" x14ac:dyDescent="0.3">
      <c r="A40" s="19" t="s">
        <v>39</v>
      </c>
      <c r="B40" s="23">
        <f t="shared" ref="B40:F40" si="1">B8-B39</f>
        <v>44198.431193347089</v>
      </c>
      <c r="C40" s="24">
        <f t="shared" si="1"/>
        <v>36078.930000000168</v>
      </c>
      <c r="D40" s="25" t="e">
        <f t="shared" si="1"/>
        <v>#REF!</v>
      </c>
      <c r="E40" s="26">
        <f t="shared" si="1"/>
        <v>6864.647860013647</v>
      </c>
      <c r="F40" s="26">
        <f t="shared" si="1"/>
        <v>11427.212493333733</v>
      </c>
    </row>
    <row r="41" spans="1:6" x14ac:dyDescent="0.25">
      <c r="D41"/>
      <c r="E41" s="4"/>
    </row>
    <row r="42" spans="1:6" x14ac:dyDescent="0.25">
      <c r="D42"/>
    </row>
    <row r="43" spans="1:6" x14ac:dyDescent="0.25">
      <c r="D43"/>
    </row>
    <row r="44" spans="1:6" x14ac:dyDescent="0.25">
      <c r="D44"/>
    </row>
    <row r="45" spans="1:6" x14ac:dyDescent="0.25">
      <c r="D45"/>
    </row>
    <row r="46" spans="1:6" x14ac:dyDescent="0.25">
      <c r="D46"/>
    </row>
    <row r="47" spans="1:6" x14ac:dyDescent="0.25">
      <c r="D47"/>
    </row>
    <row r="48" spans="1:6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</sheetData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5251-D970-4699-96CC-95F79AB77D51}">
  <dimension ref="A3:B21"/>
  <sheetViews>
    <sheetView workbookViewId="0">
      <selection activeCell="B6" sqref="B6"/>
    </sheetView>
  </sheetViews>
  <sheetFormatPr defaultRowHeight="15" x14ac:dyDescent="0.25"/>
  <cols>
    <col min="1" max="1" width="23.140625" customWidth="1"/>
    <col min="2" max="2" width="14.85546875" bestFit="1" customWidth="1"/>
  </cols>
  <sheetData>
    <row r="3" spans="1:2" x14ac:dyDescent="0.25">
      <c r="A3" t="s">
        <v>40</v>
      </c>
    </row>
    <row r="5" spans="1:2" x14ac:dyDescent="0.25">
      <c r="A5" t="s">
        <v>56</v>
      </c>
      <c r="B5">
        <f>78000-(9000)</f>
        <v>69000</v>
      </c>
    </row>
    <row r="6" spans="1:2" x14ac:dyDescent="0.25">
      <c r="A6" t="s">
        <v>41</v>
      </c>
      <c r="B6">
        <f>99112.01/5*12</f>
        <v>237868.82399999996</v>
      </c>
    </row>
    <row r="7" spans="1:2" x14ac:dyDescent="0.25">
      <c r="A7" t="s">
        <v>42</v>
      </c>
      <c r="B7">
        <f>77690.21/5*2</f>
        <v>31076.084000000003</v>
      </c>
    </row>
    <row r="8" spans="1:2" x14ac:dyDescent="0.25">
      <c r="A8" t="s">
        <v>43</v>
      </c>
      <c r="B8">
        <f>57991.45/5*12+77*222</f>
        <v>156273.47999999998</v>
      </c>
    </row>
    <row r="9" spans="1:2" x14ac:dyDescent="0.25">
      <c r="A9" t="s">
        <v>44</v>
      </c>
      <c r="B9">
        <f>83*220</f>
        <v>18260</v>
      </c>
    </row>
    <row r="10" spans="1:2" x14ac:dyDescent="0.25">
      <c r="A10" t="s">
        <v>45</v>
      </c>
      <c r="B10">
        <f>10230.44/5*12</f>
        <v>24553.056000000004</v>
      </c>
    </row>
    <row r="11" spans="1:2" x14ac:dyDescent="0.25">
      <c r="A11" t="s">
        <v>46</v>
      </c>
      <c r="B11">
        <f>10038.81/5*12</f>
        <v>24093.144</v>
      </c>
    </row>
    <row r="12" spans="1:2" x14ac:dyDescent="0.25">
      <c r="A12" t="s">
        <v>47</v>
      </c>
      <c r="B12">
        <f>9719.85/5*12</f>
        <v>23327.64</v>
      </c>
    </row>
    <row r="13" spans="1:2" x14ac:dyDescent="0.25">
      <c r="A13" t="s">
        <v>48</v>
      </c>
      <c r="B13">
        <f>9718/5*12</f>
        <v>23323.199999999997</v>
      </c>
    </row>
    <row r="14" spans="1:2" x14ac:dyDescent="0.25">
      <c r="A14" t="s">
        <v>49</v>
      </c>
      <c r="B14">
        <f>10017.61/5*12</f>
        <v>24042.264000000003</v>
      </c>
    </row>
    <row r="15" spans="1:2" x14ac:dyDescent="0.25">
      <c r="A15" t="s">
        <v>50</v>
      </c>
      <c r="B15">
        <f>9840.73/5*12</f>
        <v>23617.752</v>
      </c>
    </row>
    <row r="16" spans="1:2" x14ac:dyDescent="0.25">
      <c r="A16" t="s">
        <v>51</v>
      </c>
      <c r="B16">
        <f>9219.63/5*12</f>
        <v>22127.112000000001</v>
      </c>
    </row>
    <row r="17" spans="1:2" x14ac:dyDescent="0.25">
      <c r="A17" t="s">
        <v>57</v>
      </c>
      <c r="B17">
        <f>9700/5*9</f>
        <v>17460</v>
      </c>
    </row>
    <row r="18" spans="1:2" x14ac:dyDescent="0.25">
      <c r="A18" t="s">
        <v>52</v>
      </c>
      <c r="B18">
        <f>SUM(B5:B17)</f>
        <v>695022.55599999975</v>
      </c>
    </row>
    <row r="19" spans="1:2" x14ac:dyDescent="0.25">
      <c r="A19" t="s">
        <v>53</v>
      </c>
      <c r="B19">
        <f>B18*0.17/3</f>
        <v>39384.611506666653</v>
      </c>
    </row>
    <row r="20" spans="1:2" x14ac:dyDescent="0.25">
      <c r="A20" t="s">
        <v>54</v>
      </c>
      <c r="B20">
        <f>3274.57*6+1120*12+7037*12+5*3275</f>
        <v>133906.41999999998</v>
      </c>
    </row>
    <row r="21" spans="1:2" x14ac:dyDescent="0.25">
      <c r="A21" t="s">
        <v>55</v>
      </c>
      <c r="B21">
        <f>SUM(B18:B20)</f>
        <v>868313.58750666631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Lejre Lærerforening</dc:creator>
  <cp:lastModifiedBy>Lejre Lærerforening</cp:lastModifiedBy>
  <cp:lastPrinted>2018-02-15T08:35:56Z</cp:lastPrinted>
  <dcterms:created xsi:type="dcterms:W3CDTF">2018-01-22T09:31:54Z</dcterms:created>
  <dcterms:modified xsi:type="dcterms:W3CDTF">2018-02-27T07:47:50Z</dcterms:modified>
</cp:coreProperties>
</file>